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'Sheet1'!$A$101:$L$125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<sst xmlns="http://schemas.openxmlformats.org/spreadsheetml/2006/main" count="125" uniqueCount="113">
  <si>
    <t>Barling Magna Parish Council</t>
  </si>
  <si>
    <t>£</t>
  </si>
  <si>
    <t>Expenditure</t>
  </si>
  <si>
    <t>Misc</t>
  </si>
  <si>
    <t>Insurance</t>
  </si>
  <si>
    <t>Stationery</t>
  </si>
  <si>
    <t>Subscriptions</t>
  </si>
  <si>
    <t>Telephone</t>
  </si>
  <si>
    <t>Bank Charges</t>
  </si>
  <si>
    <t>Actual</t>
  </si>
  <si>
    <t>Estimate</t>
  </si>
  <si>
    <t>Total</t>
  </si>
  <si>
    <t>2015/2016</t>
  </si>
  <si>
    <t>Newsletter</t>
  </si>
  <si>
    <t>Postage</t>
  </si>
  <si>
    <t>Fire Extinguisher Maintenance</t>
  </si>
  <si>
    <t>Donation</t>
  </si>
  <si>
    <t>PA System</t>
  </si>
  <si>
    <t>Web Support</t>
  </si>
  <si>
    <t>Coffee/Tea/Milk</t>
  </si>
  <si>
    <t>Internal Audit</t>
  </si>
  <si>
    <t>Christmas Hampers</t>
  </si>
  <si>
    <t>External Auditor</t>
  </si>
  <si>
    <t>Reference Books</t>
  </si>
  <si>
    <t>Training</t>
  </si>
  <si>
    <t>Citizen of the Year</t>
  </si>
  <si>
    <t>Bus Shelters</t>
  </si>
  <si>
    <t>Interest Received</t>
  </si>
  <si>
    <t>Playspace - Empty Bins</t>
  </si>
  <si>
    <t>Playspace - Mow Lawn</t>
  </si>
  <si>
    <t>Playspace - Annual Inspection</t>
  </si>
  <si>
    <t>Lighting - Power</t>
  </si>
  <si>
    <t>Lighting - Repairs</t>
  </si>
  <si>
    <t>Village Hall - Mow Lawn</t>
  </si>
  <si>
    <t>Village Hall - Repairs</t>
  </si>
  <si>
    <t>Village Hall - Water/Sewage</t>
  </si>
  <si>
    <t>Village Hall - Power</t>
  </si>
  <si>
    <t>Village Hall - Rates</t>
  </si>
  <si>
    <t>Village Hall - Caretaker Salary</t>
  </si>
  <si>
    <t>Village Hall - Cleaning Materials</t>
  </si>
  <si>
    <t>Village Hall - Insurance</t>
  </si>
  <si>
    <t>Village Hall - Rental Income</t>
  </si>
  <si>
    <t>Wildlife Reserve - Bins</t>
  </si>
  <si>
    <t>Wildlife Reserve - Mileage</t>
  </si>
  <si>
    <t>Wildlife Reserve - Water</t>
  </si>
  <si>
    <t>Wildlife Reserve - Misc</t>
  </si>
  <si>
    <t>Wildlife Reserve - Petrol/Diesel</t>
  </si>
  <si>
    <t>Wildlife Reserve - Tools</t>
  </si>
  <si>
    <t>Wildlife Reserve - Fire Exting</t>
  </si>
  <si>
    <t>Wildlife Reserve - Tractor/Mower</t>
  </si>
  <si>
    <t>Wildlife Reserve - Stationery</t>
  </si>
  <si>
    <t>Wildlife Reserve - Servicing</t>
  </si>
  <si>
    <t>Wildlife Reserve - Bicycle Rack</t>
  </si>
  <si>
    <t>Staff Salary</t>
  </si>
  <si>
    <t>Staff Pension</t>
  </si>
  <si>
    <t>Data Protection</t>
  </si>
  <si>
    <t>Lighting - Legal Costs</t>
  </si>
  <si>
    <t>Vilage Hall - Inspection Work</t>
  </si>
  <si>
    <t>Village Hall - Periodic/PAT Testing</t>
  </si>
  <si>
    <t>Village Hall - Asbestos/Fire Risk Survey</t>
  </si>
  <si>
    <t>Wildlife Reserve - Planning Application</t>
  </si>
  <si>
    <t>Wildlife Reserve - Trailer</t>
  </si>
  <si>
    <t>B</t>
  </si>
  <si>
    <t>C</t>
  </si>
  <si>
    <t>D</t>
  </si>
  <si>
    <t>E</t>
  </si>
  <si>
    <t>Wildlife Reserve - Legal Costs</t>
  </si>
  <si>
    <t>Wildlife Reserve - Anglia Water Costs</t>
  </si>
  <si>
    <t>Provision for Election</t>
  </si>
  <si>
    <t>Accounting Software Licence</t>
  </si>
  <si>
    <t>Hall Rental</t>
  </si>
  <si>
    <t>Risk Management Software</t>
  </si>
  <si>
    <t>Land Purchase</t>
  </si>
  <si>
    <t>Village Hall - Ceiling/RSJ Survey</t>
  </si>
  <si>
    <t>Village Hall - Stationery/Postage</t>
  </si>
  <si>
    <t>Wildlife Reserve - Fencing</t>
  </si>
  <si>
    <t>Wildlife Reserve - Flood Risk Assess</t>
  </si>
  <si>
    <t>F</t>
  </si>
  <si>
    <t>Notice Boards</t>
  </si>
  <si>
    <t>Memorial Bench</t>
  </si>
  <si>
    <t>Councillor Allowances</t>
  </si>
  <si>
    <t>Provision for Building Costs</t>
  </si>
  <si>
    <t>Wildlife Reserve - Tree Inspection</t>
  </si>
  <si>
    <t>2016/2017</t>
  </si>
  <si>
    <t>2014/2015</t>
  </si>
  <si>
    <t>G</t>
  </si>
  <si>
    <t>7 mths to</t>
  </si>
  <si>
    <t>5 Mths to</t>
  </si>
  <si>
    <t>2017/2018</t>
  </si>
  <si>
    <t>Bus Shelter Repairs</t>
  </si>
  <si>
    <t>Staff Pension Fine</t>
  </si>
  <si>
    <t>HMRC Penalty</t>
  </si>
  <si>
    <t>Legal Costs</t>
  </si>
  <si>
    <t>Village Hall - Survey Fees</t>
  </si>
  <si>
    <t>Wildlife Reserve - Teddy Bear's Picnic</t>
  </si>
  <si>
    <t>Lighting - Identification Process</t>
  </si>
  <si>
    <t>Village hall - Refurbishment</t>
  </si>
  <si>
    <t>Recommended Precept</t>
  </si>
  <si>
    <t>*</t>
  </si>
  <si>
    <t>LCTS Grant</t>
  </si>
  <si>
    <t>Estimated expenditure for the year</t>
  </si>
  <si>
    <t>Bank Balance as at 31st October, 2016</t>
  </si>
  <si>
    <t>Estimated Expenditure for 5 months to 31st March, 2017</t>
  </si>
  <si>
    <t>Estimated Bank Balance as at 31st March,2017</t>
  </si>
  <si>
    <t>Public Works Loan Board Loan</t>
  </si>
  <si>
    <t>Locum Clerk</t>
  </si>
  <si>
    <t>Mileage/Parking (Clerk &amp; Training Courses)</t>
  </si>
  <si>
    <t>Final Anticipated Balance at 31st March, 2018</t>
  </si>
  <si>
    <t>*     5% Increase</t>
  </si>
  <si>
    <t>Agreed Budget for the year to 31st March, 2018</t>
  </si>
  <si>
    <t>Budget</t>
  </si>
  <si>
    <t>12th January 2017</t>
  </si>
  <si>
    <t>Agreed Precept Calculation for the year to 31st March,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</si>
</sst>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0" xfId="0" applyNumberFormat="1" applyBorder="1"/>
    <xf numFmtId="14" fontId="2" fillId="0" borderId="0" xfId="0" applyNumberFormat="1" applyFont="1" applyAlignment="1">
      <alignment horizontal="center"/>
    </xf>
    <xf numFmtId="41" fontId="0" fillId="0" borderId="1" xfId="0" applyNumberFormat="1" applyBorder="1"/>
    <xf numFmtId="41" fontId="0" fillId="0" borderId="2" xfId="0" applyNumberFormat="1" applyBorder="1"/>
    <xf numFmtId="41" fontId="3" fillId="0" borderId="0" xfId="0" applyNumberFormat="1" applyFont="1"/>
    <xf numFmtId="41" fontId="4" fillId="0" borderId="0" xfId="0" applyNumberFormat="1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4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1" fontId="2" fillId="2" borderId="4" xfId="0" applyNumberFormat="1" applyFont="1" applyFill="1" applyBorder="1" applyAlignment="1">
      <alignment horizontal="center"/>
    </xf>
    <xf numFmtId="41" fontId="2" fillId="2" borderId="4" xfId="0" applyNumberFormat="1" applyFont="1" applyFill="1" applyBorder="1"/>
    <xf numFmtId="41" fontId="5" fillId="2" borderId="4" xfId="0" applyNumberFormat="1" applyFont="1" applyFill="1" applyBorder="1"/>
    <xf numFmtId="41" fontId="6" fillId="2" borderId="4" xfId="0" applyNumberFormat="1" applyFont="1" applyFill="1" applyBorder="1"/>
    <xf numFmtId="41" fontId="2" fillId="2" borderId="5" xfId="0" applyNumberFormat="1" applyFont="1" applyFill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5"/>
  <sheetViews>
    <sheetView tabSelected="1" workbookViewId="0" topLeftCell="B1">
      <selection activeCell="I1" sqref="I1"/>
    </sheetView>
  </sheetViews>
  <sheetFormatPr defaultColWidth="9.140625" defaultRowHeight="15"/>
  <cols>
    <col min="1" max="1" width="3.28125" style="0" customWidth="1"/>
    <col min="2" max="2" width="18.28125" style="0" customWidth="1"/>
    <col min="3" max="3" width="16.57421875" style="0" customWidth="1"/>
    <col min="4" max="4" width="2.7109375" style="0" customWidth="1"/>
    <col min="5" max="5" width="10.7109375" style="0" customWidth="1"/>
    <col min="6" max="6" width="2.7109375" style="0" customWidth="1"/>
    <col min="7" max="7" width="10.8515625" style="0" customWidth="1"/>
    <col min="8" max="8" width="3.7109375" style="0" customWidth="1"/>
    <col min="9" max="9" width="10.7109375" style="0" customWidth="1"/>
    <col min="10" max="10" width="2.7109375" style="0" customWidth="1"/>
    <col min="11" max="11" width="10.7109375" style="0" customWidth="1"/>
    <col min="12" max="12" width="2.7109375" style="0" customWidth="1"/>
    <col min="13" max="13" width="10.7109375" style="0" customWidth="1"/>
    <col min="14" max="14" width="2.7109375" style="0" customWidth="1"/>
    <col min="15" max="15" width="10.7109375" style="0" customWidth="1"/>
  </cols>
  <sheetData>
    <row r="2" ht="18.75">
      <c r="A2" s="23" t="s">
        <v>0</v>
      </c>
    </row>
    <row r="3" ht="18.75">
      <c r="A3" s="23" t="s">
        <v>109</v>
      </c>
    </row>
    <row r="4" spans="1:15" ht="15">
      <c r="A4" s="1"/>
      <c r="O4" s="2"/>
    </row>
    <row r="5" spans="1:15" ht="15">
      <c r="A5" s="1"/>
      <c r="E5" s="2" t="s">
        <v>62</v>
      </c>
      <c r="F5" s="2"/>
      <c r="G5" s="2" t="s">
        <v>63</v>
      </c>
      <c r="H5" s="2"/>
      <c r="I5" s="2" t="s">
        <v>64</v>
      </c>
      <c r="J5" s="2"/>
      <c r="K5" s="2" t="s">
        <v>65</v>
      </c>
      <c r="L5" s="2"/>
      <c r="M5" s="2" t="s">
        <v>77</v>
      </c>
      <c r="N5" s="2"/>
      <c r="O5" s="2" t="s">
        <v>85</v>
      </c>
    </row>
    <row r="6" spans="1:15" ht="15">
      <c r="A6" s="1"/>
      <c r="O6" s="4"/>
    </row>
    <row r="7" spans="1:15" ht="15">
      <c r="A7" s="1"/>
      <c r="I7" s="3" t="s">
        <v>86</v>
      </c>
      <c r="K7" s="3" t="s">
        <v>87</v>
      </c>
      <c r="M7" s="3" t="s">
        <v>11</v>
      </c>
      <c r="O7" s="4"/>
    </row>
    <row r="8" spans="2:15" ht="15">
      <c r="B8" s="3"/>
      <c r="C8" s="1"/>
      <c r="D8" s="1"/>
      <c r="E8" s="1"/>
      <c r="F8" s="1"/>
      <c r="G8" s="1"/>
      <c r="H8" s="1"/>
      <c r="I8" s="7">
        <v>42674</v>
      </c>
      <c r="J8" s="1"/>
      <c r="K8" s="7">
        <v>42825</v>
      </c>
      <c r="L8" s="1"/>
      <c r="M8" s="7" t="s">
        <v>83</v>
      </c>
      <c r="O8" s="16" t="s">
        <v>110</v>
      </c>
    </row>
    <row r="9" spans="2:15" ht="15">
      <c r="B9" s="1"/>
      <c r="C9" s="1"/>
      <c r="D9" s="1"/>
      <c r="E9" s="3" t="s">
        <v>84</v>
      </c>
      <c r="F9" s="1"/>
      <c r="G9" s="3" t="s">
        <v>12</v>
      </c>
      <c r="H9" s="1"/>
      <c r="I9" s="7" t="s">
        <v>9</v>
      </c>
      <c r="J9" s="1"/>
      <c r="K9" s="7" t="s">
        <v>10</v>
      </c>
      <c r="L9" s="1"/>
      <c r="M9" s="7" t="s">
        <v>10</v>
      </c>
      <c r="O9" s="17" t="s">
        <v>88</v>
      </c>
    </row>
    <row r="10" spans="2:15" ht="15">
      <c r="B10" s="1" t="s">
        <v>2</v>
      </c>
      <c r="C10" s="1"/>
      <c r="D10" s="3"/>
      <c r="E10" s="3" t="s">
        <v>1</v>
      </c>
      <c r="F10" s="3"/>
      <c r="G10" s="3" t="s">
        <v>1</v>
      </c>
      <c r="H10" s="3"/>
      <c r="I10" s="3" t="s">
        <v>1</v>
      </c>
      <c r="J10" s="3"/>
      <c r="K10" s="3" t="s">
        <v>1</v>
      </c>
      <c r="L10" s="3"/>
      <c r="M10" s="3" t="s">
        <v>1</v>
      </c>
      <c r="O10" s="18" t="s">
        <v>1</v>
      </c>
    </row>
    <row r="11" spans="4:15" ht="15">
      <c r="D11" s="5"/>
      <c r="E11" s="4"/>
      <c r="F11" s="4"/>
      <c r="G11" s="4"/>
      <c r="H11" s="4"/>
      <c r="I11" s="4"/>
      <c r="J11" s="4"/>
      <c r="K11" s="4"/>
      <c r="L11" s="4"/>
      <c r="M11" s="4"/>
      <c r="O11" s="19"/>
    </row>
    <row r="12" spans="2:15" ht="15">
      <c r="B12" t="s">
        <v>53</v>
      </c>
      <c r="D12" s="5"/>
      <c r="E12" s="4">
        <f>7484+1967</f>
        <v>9451</v>
      </c>
      <c r="F12" s="4"/>
      <c r="G12" s="4">
        <v>7880</v>
      </c>
      <c r="H12" s="4"/>
      <c r="I12" s="4">
        <v>7442.87</v>
      </c>
      <c r="J12" s="4"/>
      <c r="K12" s="4">
        <f>808.13+845+845</f>
        <v>2498.13</v>
      </c>
      <c r="L12" s="4"/>
      <c r="M12" s="4">
        <f>I12+K12</f>
        <v>9941</v>
      </c>
      <c r="O12" s="19">
        <f>845+(11*875)</f>
        <v>10470</v>
      </c>
    </row>
    <row r="13" spans="2:15" ht="15">
      <c r="B13" t="s">
        <v>54</v>
      </c>
      <c r="D13" s="5"/>
      <c r="E13" s="4">
        <f>1857</f>
        <v>1857</v>
      </c>
      <c r="F13" s="4"/>
      <c r="G13" s="4">
        <v>1852</v>
      </c>
      <c r="H13" s="4"/>
      <c r="I13" s="4">
        <v>0</v>
      </c>
      <c r="J13" s="4"/>
      <c r="K13" s="4">
        <f>((I13/7)*4)</f>
        <v>0</v>
      </c>
      <c r="L13" s="4"/>
      <c r="M13" s="4">
        <f aca="true" t="shared" si="0" ref="M13:M92">I13+K13</f>
        <v>0</v>
      </c>
      <c r="O13" s="19">
        <f>135*8</f>
        <v>1080</v>
      </c>
    </row>
    <row r="14" spans="2:15" ht="15">
      <c r="B14" t="s">
        <v>90</v>
      </c>
      <c r="D14" s="5"/>
      <c r="E14" s="4">
        <v>0</v>
      </c>
      <c r="F14" s="4"/>
      <c r="G14" s="4">
        <v>0</v>
      </c>
      <c r="H14" s="4"/>
      <c r="I14" s="4">
        <v>500</v>
      </c>
      <c r="J14" s="4"/>
      <c r="K14" s="4">
        <v>0</v>
      </c>
      <c r="L14" s="4"/>
      <c r="M14" s="4">
        <f>I14+K14</f>
        <v>500</v>
      </c>
      <c r="O14" s="19">
        <v>0</v>
      </c>
    </row>
    <row r="15" spans="2:15" ht="15">
      <c r="B15" t="s">
        <v>105</v>
      </c>
      <c r="D15" s="5"/>
      <c r="E15" s="4">
        <v>0</v>
      </c>
      <c r="F15" s="4"/>
      <c r="G15" s="4">
        <v>0</v>
      </c>
      <c r="H15" s="4"/>
      <c r="I15" s="4">
        <v>0</v>
      </c>
      <c r="J15" s="4"/>
      <c r="K15" s="4">
        <v>1200</v>
      </c>
      <c r="L15" s="4"/>
      <c r="M15" s="4">
        <f>I15+K15</f>
        <v>1200</v>
      </c>
      <c r="O15" s="19">
        <v>500</v>
      </c>
    </row>
    <row r="16" spans="2:15" ht="15">
      <c r="B16" t="s">
        <v>91</v>
      </c>
      <c r="D16" s="5"/>
      <c r="E16" s="4">
        <v>0</v>
      </c>
      <c r="F16" s="4"/>
      <c r="G16" s="4">
        <v>0</v>
      </c>
      <c r="H16" s="4"/>
      <c r="I16" s="4">
        <v>200</v>
      </c>
      <c r="J16" s="4"/>
      <c r="K16" s="4">
        <v>300</v>
      </c>
      <c r="L16" s="4"/>
      <c r="M16" s="4">
        <f>I16+K16</f>
        <v>500</v>
      </c>
      <c r="O16" s="19">
        <v>0</v>
      </c>
    </row>
    <row r="17" spans="2:15" ht="15">
      <c r="B17" t="s">
        <v>5</v>
      </c>
      <c r="D17" s="4"/>
      <c r="E17" s="4">
        <f>628</f>
        <v>628</v>
      </c>
      <c r="F17" s="4"/>
      <c r="G17" s="4">
        <v>746</v>
      </c>
      <c r="H17" s="4"/>
      <c r="I17" s="4">
        <v>88.44</v>
      </c>
      <c r="J17" s="4"/>
      <c r="K17" s="4">
        <f>((I17/7)*5)</f>
        <v>63.171428571428564</v>
      </c>
      <c r="L17" s="4"/>
      <c r="M17" s="4">
        <f t="shared" si="0"/>
        <v>151.61142857142858</v>
      </c>
      <c r="O17" s="19">
        <v>750</v>
      </c>
    </row>
    <row r="18" spans="2:15" ht="15">
      <c r="B18" t="s">
        <v>19</v>
      </c>
      <c r="D18" s="4"/>
      <c r="E18" s="4">
        <f>47</f>
        <v>47</v>
      </c>
      <c r="F18" s="4"/>
      <c r="G18" s="4">
        <v>0</v>
      </c>
      <c r="H18" s="4"/>
      <c r="I18" s="4">
        <v>0</v>
      </c>
      <c r="J18" s="4"/>
      <c r="K18" s="4">
        <f>((I18/7)*4)</f>
        <v>0</v>
      </c>
      <c r="L18" s="4"/>
      <c r="M18" s="4">
        <f t="shared" si="0"/>
        <v>0</v>
      </c>
      <c r="O18" s="19">
        <f>(M18/100*105)</f>
        <v>0</v>
      </c>
    </row>
    <row r="19" spans="2:15" ht="15">
      <c r="B19" t="s">
        <v>13</v>
      </c>
      <c r="D19" s="4"/>
      <c r="E19" s="4">
        <f>248</f>
        <v>248</v>
      </c>
      <c r="F19" s="4"/>
      <c r="G19" s="4">
        <v>152</v>
      </c>
      <c r="H19" s="4"/>
      <c r="I19" s="4">
        <v>76</v>
      </c>
      <c r="J19" s="4"/>
      <c r="K19" s="4">
        <v>38</v>
      </c>
      <c r="L19" s="4"/>
      <c r="M19" s="4">
        <f t="shared" si="0"/>
        <v>114</v>
      </c>
      <c r="O19" s="19">
        <v>152</v>
      </c>
    </row>
    <row r="20" spans="2:15" ht="15">
      <c r="B20" t="s">
        <v>6</v>
      </c>
      <c r="D20" s="4"/>
      <c r="E20" s="4">
        <f>599</f>
        <v>599</v>
      </c>
      <c r="F20" s="4"/>
      <c r="G20" s="4">
        <v>517</v>
      </c>
      <c r="H20" s="4"/>
      <c r="I20" s="4">
        <v>260</v>
      </c>
      <c r="J20" s="4"/>
      <c r="K20" s="4">
        <v>0</v>
      </c>
      <c r="L20" s="4"/>
      <c r="M20" s="4">
        <f t="shared" si="0"/>
        <v>260</v>
      </c>
      <c r="O20" s="19">
        <f>(M20/100*105)</f>
        <v>273</v>
      </c>
    </row>
    <row r="21" spans="2:15" ht="15">
      <c r="B21" t="s">
        <v>14</v>
      </c>
      <c r="D21" s="4"/>
      <c r="E21" s="4">
        <f>116</f>
        <v>116</v>
      </c>
      <c r="F21" s="4"/>
      <c r="G21" s="4">
        <v>69</v>
      </c>
      <c r="H21" s="4"/>
      <c r="I21" s="4">
        <v>50.52</v>
      </c>
      <c r="J21" s="4"/>
      <c r="K21" s="4">
        <f>((I21/7)*4)</f>
        <v>28.868571428571432</v>
      </c>
      <c r="L21" s="4"/>
      <c r="M21" s="4">
        <f t="shared" si="0"/>
        <v>79.38857142857144</v>
      </c>
      <c r="O21" s="19">
        <f aca="true" t="shared" si="1" ref="O21">(M21/100*105)</f>
        <v>83.35800000000002</v>
      </c>
    </row>
    <row r="22" spans="2:15" ht="15">
      <c r="B22" t="s">
        <v>106</v>
      </c>
      <c r="D22" s="4"/>
      <c r="E22" s="4">
        <f>295+18</f>
        <v>313</v>
      </c>
      <c r="F22" s="4"/>
      <c r="G22" s="4">
        <v>230</v>
      </c>
      <c r="H22" s="4"/>
      <c r="I22" s="4">
        <v>78.5</v>
      </c>
      <c r="J22" s="4"/>
      <c r="K22" s="4">
        <f>((I22/7)*4)</f>
        <v>44.857142857142854</v>
      </c>
      <c r="L22" s="4"/>
      <c r="M22" s="4">
        <f t="shared" si="0"/>
        <v>123.35714285714286</v>
      </c>
      <c r="O22" s="19">
        <v>200</v>
      </c>
    </row>
    <row r="23" spans="2:15" ht="15">
      <c r="B23" t="s">
        <v>7</v>
      </c>
      <c r="D23" s="4"/>
      <c r="E23" s="4">
        <f>496</f>
        <v>496</v>
      </c>
      <c r="F23" s="4"/>
      <c r="G23" s="4">
        <v>592</v>
      </c>
      <c r="H23" s="4"/>
      <c r="I23" s="4">
        <v>113.34</v>
      </c>
      <c r="J23" s="4"/>
      <c r="K23" s="4">
        <f>((I23/7)*4)</f>
        <v>64.76571428571428</v>
      </c>
      <c r="L23" s="4"/>
      <c r="M23" s="4">
        <f t="shared" si="0"/>
        <v>178.10571428571427</v>
      </c>
      <c r="O23" s="19">
        <v>150</v>
      </c>
    </row>
    <row r="24" spans="2:15" ht="15">
      <c r="B24" t="s">
        <v>3</v>
      </c>
      <c r="D24" s="4"/>
      <c r="E24" s="4">
        <f>23</f>
        <v>23</v>
      </c>
      <c r="F24" s="4"/>
      <c r="G24" s="4">
        <v>56</v>
      </c>
      <c r="H24" s="4"/>
      <c r="I24" s="4">
        <v>103</v>
      </c>
      <c r="J24" s="4"/>
      <c r="K24" s="4">
        <f>((I24/7)*4)</f>
        <v>58.857142857142854</v>
      </c>
      <c r="L24" s="4"/>
      <c r="M24" s="4">
        <f t="shared" si="0"/>
        <v>161.85714285714286</v>
      </c>
      <c r="O24" s="19">
        <v>100</v>
      </c>
    </row>
    <row r="25" spans="2:15" ht="15">
      <c r="B25" t="s">
        <v>4</v>
      </c>
      <c r="D25" s="4"/>
      <c r="E25" s="4">
        <f>2139</f>
        <v>2139</v>
      </c>
      <c r="F25" s="4"/>
      <c r="G25" s="4">
        <v>2305</v>
      </c>
      <c r="H25" s="4"/>
      <c r="I25" s="4">
        <v>2284.96</v>
      </c>
      <c r="J25" s="4"/>
      <c r="K25" s="4">
        <v>0</v>
      </c>
      <c r="L25" s="4"/>
      <c r="M25" s="4">
        <f t="shared" si="0"/>
        <v>2284.96</v>
      </c>
      <c r="O25" s="19">
        <v>2450</v>
      </c>
    </row>
    <row r="26" spans="2:15" ht="15">
      <c r="B26" t="s">
        <v>20</v>
      </c>
      <c r="D26" s="4"/>
      <c r="E26" s="4">
        <f>350</f>
        <v>350</v>
      </c>
      <c r="F26" s="4"/>
      <c r="G26" s="4">
        <v>310</v>
      </c>
      <c r="H26" s="4"/>
      <c r="I26" s="4">
        <v>1503.46</v>
      </c>
      <c r="J26" s="4"/>
      <c r="K26" s="4">
        <v>0</v>
      </c>
      <c r="L26" s="4"/>
      <c r="M26" s="4">
        <f t="shared" si="0"/>
        <v>1503.46</v>
      </c>
      <c r="O26" s="19">
        <v>430</v>
      </c>
    </row>
    <row r="27" spans="2:15" ht="15">
      <c r="B27" t="s">
        <v>15</v>
      </c>
      <c r="D27" s="4"/>
      <c r="E27" s="4">
        <f>32</f>
        <v>32</v>
      </c>
      <c r="F27" s="4"/>
      <c r="G27" s="4">
        <v>0</v>
      </c>
      <c r="H27" s="4"/>
      <c r="I27" s="4">
        <v>0</v>
      </c>
      <c r="J27" s="4"/>
      <c r="K27" s="4">
        <v>143.27</v>
      </c>
      <c r="L27" s="4"/>
      <c r="M27" s="4">
        <f t="shared" si="0"/>
        <v>143.27</v>
      </c>
      <c r="O27" s="19">
        <v>0</v>
      </c>
    </row>
    <row r="28" spans="2:15" ht="15">
      <c r="B28" t="s">
        <v>16</v>
      </c>
      <c r="D28" s="4"/>
      <c r="E28" s="4">
        <v>0</v>
      </c>
      <c r="F28" s="4"/>
      <c r="G28" s="4">
        <v>1400</v>
      </c>
      <c r="H28" s="4"/>
      <c r="I28" s="4">
        <v>250</v>
      </c>
      <c r="J28" s="4"/>
      <c r="K28" s="4">
        <v>0</v>
      </c>
      <c r="L28" s="4"/>
      <c r="M28" s="4">
        <f t="shared" si="0"/>
        <v>250</v>
      </c>
      <c r="O28" s="19">
        <f aca="true" t="shared" si="2" ref="O28:O52">(M28/100*105)</f>
        <v>262.5</v>
      </c>
    </row>
    <row r="29" spans="2:15" ht="15">
      <c r="B29" t="s">
        <v>69</v>
      </c>
      <c r="D29" s="4"/>
      <c r="E29" s="4">
        <v>195</v>
      </c>
      <c r="F29" s="4"/>
      <c r="G29" s="4">
        <v>225</v>
      </c>
      <c r="H29" s="4"/>
      <c r="I29" s="4">
        <v>195</v>
      </c>
      <c r="J29" s="4"/>
      <c r="K29" s="4">
        <v>0</v>
      </c>
      <c r="L29" s="4"/>
      <c r="M29" s="4">
        <f t="shared" si="0"/>
        <v>195</v>
      </c>
      <c r="O29" s="19">
        <f t="shared" si="2"/>
        <v>204.75</v>
      </c>
    </row>
    <row r="30" spans="2:15" ht="15">
      <c r="B30" t="s">
        <v>17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0</v>
      </c>
      <c r="L30" s="4"/>
      <c r="M30" s="4">
        <f t="shared" si="0"/>
        <v>0</v>
      </c>
      <c r="O30" s="19">
        <v>100</v>
      </c>
    </row>
    <row r="31" spans="2:15" ht="15">
      <c r="B31" t="s">
        <v>18</v>
      </c>
      <c r="D31" s="4"/>
      <c r="E31" s="4">
        <f>176</f>
        <v>176</v>
      </c>
      <c r="F31" s="4"/>
      <c r="G31" s="4">
        <v>407</v>
      </c>
      <c r="H31" s="4"/>
      <c r="I31" s="4">
        <v>0</v>
      </c>
      <c r="J31" s="4"/>
      <c r="K31" s="4">
        <v>550</v>
      </c>
      <c r="L31" s="4"/>
      <c r="M31" s="4">
        <f t="shared" si="0"/>
        <v>550</v>
      </c>
      <c r="O31" s="19">
        <f t="shared" si="2"/>
        <v>577.5</v>
      </c>
    </row>
    <row r="32" spans="2:15" ht="15">
      <c r="B32" t="s">
        <v>21</v>
      </c>
      <c r="D32" s="4"/>
      <c r="E32" s="4">
        <f>331</f>
        <v>331</v>
      </c>
      <c r="F32" s="4"/>
      <c r="G32" s="4">
        <v>450</v>
      </c>
      <c r="H32" s="4"/>
      <c r="I32" s="4">
        <v>0</v>
      </c>
      <c r="J32" s="4"/>
      <c r="K32" s="4">
        <v>400</v>
      </c>
      <c r="L32" s="4"/>
      <c r="M32" s="4">
        <f t="shared" si="0"/>
        <v>400</v>
      </c>
      <c r="O32" s="19">
        <v>400</v>
      </c>
    </row>
    <row r="33" spans="2:15" ht="15">
      <c r="B33" t="s">
        <v>22</v>
      </c>
      <c r="D33" s="4"/>
      <c r="E33" s="4">
        <f>300</f>
        <v>300</v>
      </c>
      <c r="F33" s="4"/>
      <c r="G33" s="4">
        <v>250</v>
      </c>
      <c r="H33" s="4"/>
      <c r="I33" s="4">
        <v>0</v>
      </c>
      <c r="J33" s="4"/>
      <c r="K33" s="4">
        <v>230</v>
      </c>
      <c r="L33" s="4"/>
      <c r="M33" s="4">
        <f t="shared" si="0"/>
        <v>230</v>
      </c>
      <c r="O33" s="19">
        <f t="shared" si="2"/>
        <v>241.49999999999997</v>
      </c>
    </row>
    <row r="34" spans="2:15" ht="15">
      <c r="B34" t="s">
        <v>55</v>
      </c>
      <c r="D34" s="4"/>
      <c r="E34" s="4">
        <f>70</f>
        <v>70</v>
      </c>
      <c r="F34" s="4"/>
      <c r="G34" s="4">
        <v>35</v>
      </c>
      <c r="H34" s="4"/>
      <c r="I34" s="4">
        <v>0</v>
      </c>
      <c r="J34" s="4"/>
      <c r="K34" s="4">
        <v>70</v>
      </c>
      <c r="L34" s="4"/>
      <c r="M34" s="4">
        <f t="shared" si="0"/>
        <v>70</v>
      </c>
      <c r="O34" s="19">
        <f t="shared" si="2"/>
        <v>73.5</v>
      </c>
    </row>
    <row r="35" spans="2:15" ht="15">
      <c r="B35" t="s">
        <v>23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4">
        <v>0</v>
      </c>
      <c r="L35" s="4"/>
      <c r="M35" s="4">
        <f t="shared" si="0"/>
        <v>0</v>
      </c>
      <c r="O35" s="19">
        <f t="shared" si="2"/>
        <v>0</v>
      </c>
    </row>
    <row r="36" spans="2:15" ht="15">
      <c r="B36" t="s">
        <v>24</v>
      </c>
      <c r="D36" s="4"/>
      <c r="E36" s="4">
        <f>210</f>
        <v>210</v>
      </c>
      <c r="F36" s="4"/>
      <c r="G36" s="4">
        <v>0</v>
      </c>
      <c r="H36" s="4"/>
      <c r="I36" s="4">
        <v>312</v>
      </c>
      <c r="J36" s="4"/>
      <c r="K36" s="4">
        <v>200</v>
      </c>
      <c r="L36" s="4"/>
      <c r="M36" s="4">
        <f t="shared" si="0"/>
        <v>512</v>
      </c>
      <c r="O36" s="19">
        <f t="shared" si="2"/>
        <v>537.6</v>
      </c>
    </row>
    <row r="37" spans="2:15" ht="15">
      <c r="B37" t="s">
        <v>25</v>
      </c>
      <c r="D37" s="4"/>
      <c r="E37" s="4">
        <f>50</f>
        <v>50</v>
      </c>
      <c r="F37" s="4"/>
      <c r="G37" s="4">
        <v>0</v>
      </c>
      <c r="H37" s="4"/>
      <c r="I37" s="4">
        <v>0</v>
      </c>
      <c r="J37" s="4"/>
      <c r="K37" s="4">
        <v>50</v>
      </c>
      <c r="L37" s="4"/>
      <c r="M37" s="4">
        <f t="shared" si="0"/>
        <v>50</v>
      </c>
      <c r="O37" s="19">
        <v>75</v>
      </c>
    </row>
    <row r="38" spans="2:17" ht="15">
      <c r="B38" t="s">
        <v>70</v>
      </c>
      <c r="D38" s="4"/>
      <c r="E38" s="4">
        <v>90</v>
      </c>
      <c r="F38" s="4"/>
      <c r="G38" s="4">
        <v>425</v>
      </c>
      <c r="H38" s="4"/>
      <c r="I38" s="4">
        <v>140</v>
      </c>
      <c r="J38" s="4"/>
      <c r="K38" s="4">
        <f>((I38/7)*4)</f>
        <v>80</v>
      </c>
      <c r="L38" s="4"/>
      <c r="M38" s="4">
        <f t="shared" si="0"/>
        <v>220</v>
      </c>
      <c r="O38" s="19">
        <v>300</v>
      </c>
      <c r="Q38" s="12"/>
    </row>
    <row r="39" spans="2:15" ht="15">
      <c r="B39" t="s">
        <v>71</v>
      </c>
      <c r="D39" s="4"/>
      <c r="E39" s="4">
        <v>86</v>
      </c>
      <c r="F39" s="4"/>
      <c r="G39" s="4">
        <v>0</v>
      </c>
      <c r="H39" s="4"/>
      <c r="I39" s="4">
        <v>0</v>
      </c>
      <c r="J39" s="4"/>
      <c r="K39" s="4">
        <v>0</v>
      </c>
      <c r="L39" s="4"/>
      <c r="M39" s="4">
        <f t="shared" si="0"/>
        <v>0</v>
      </c>
      <c r="O39" s="19">
        <v>0</v>
      </c>
    </row>
    <row r="40" spans="2:15" ht="15">
      <c r="B40" t="s">
        <v>78</v>
      </c>
      <c r="D40" s="4"/>
      <c r="E40" s="4">
        <v>0</v>
      </c>
      <c r="F40" s="4"/>
      <c r="G40" s="4">
        <v>1166</v>
      </c>
      <c r="H40" s="4"/>
      <c r="I40" s="4">
        <v>0</v>
      </c>
      <c r="J40" s="4"/>
      <c r="K40" s="4">
        <v>0</v>
      </c>
      <c r="L40" s="4"/>
      <c r="M40" s="4">
        <f t="shared" si="0"/>
        <v>0</v>
      </c>
      <c r="O40" s="19">
        <v>0</v>
      </c>
    </row>
    <row r="41" spans="2:15" ht="15">
      <c r="B41" t="s">
        <v>79</v>
      </c>
      <c r="D41" s="4"/>
      <c r="E41" s="4">
        <v>0</v>
      </c>
      <c r="F41" s="4"/>
      <c r="G41" s="4">
        <v>421</v>
      </c>
      <c r="H41" s="4"/>
      <c r="I41" s="4">
        <v>400</v>
      </c>
      <c r="J41" s="4"/>
      <c r="K41" s="4">
        <v>0</v>
      </c>
      <c r="L41" s="4"/>
      <c r="M41" s="4">
        <f t="shared" si="0"/>
        <v>400</v>
      </c>
      <c r="O41" s="19">
        <v>0</v>
      </c>
    </row>
    <row r="42" spans="2:15" ht="15">
      <c r="B42" t="s">
        <v>8</v>
      </c>
      <c r="D42" s="4"/>
      <c r="E42" s="4">
        <v>0</v>
      </c>
      <c r="F42" s="4"/>
      <c r="G42" s="4">
        <v>60</v>
      </c>
      <c r="H42" s="4"/>
      <c r="I42" s="4">
        <f>616.13+64.46</f>
        <v>680.59</v>
      </c>
      <c r="J42" s="4"/>
      <c r="K42" s="4">
        <v>0</v>
      </c>
      <c r="L42" s="4"/>
      <c r="M42" s="4">
        <f t="shared" si="0"/>
        <v>680.59</v>
      </c>
      <c r="O42" s="19">
        <v>100</v>
      </c>
    </row>
    <row r="43" spans="2:15" ht="15">
      <c r="B43" t="s">
        <v>26</v>
      </c>
      <c r="D43" s="4"/>
      <c r="E43" s="4">
        <v>240</v>
      </c>
      <c r="F43" s="4"/>
      <c r="G43" s="4">
        <v>220</v>
      </c>
      <c r="H43" s="4"/>
      <c r="I43" s="4">
        <v>180</v>
      </c>
      <c r="J43" s="4"/>
      <c r="K43" s="4">
        <f>((I43/7)*4)</f>
        <v>102.85714285714286</v>
      </c>
      <c r="L43" s="4"/>
      <c r="M43" s="4">
        <f t="shared" si="0"/>
        <v>282.8571428571429</v>
      </c>
      <c r="O43" s="19">
        <v>480</v>
      </c>
    </row>
    <row r="44" spans="2:15" ht="15">
      <c r="B44" t="s">
        <v>89</v>
      </c>
      <c r="D44" s="4"/>
      <c r="E44" s="4">
        <v>0</v>
      </c>
      <c r="F44" s="4"/>
      <c r="G44" s="4">
        <v>140</v>
      </c>
      <c r="H44" s="4"/>
      <c r="I44" s="4">
        <v>0</v>
      </c>
      <c r="J44" s="4"/>
      <c r="K44" s="4">
        <v>0</v>
      </c>
      <c r="L44" s="4"/>
      <c r="M44" s="4">
        <f t="shared" si="0"/>
        <v>0</v>
      </c>
      <c r="O44" s="19">
        <v>5250</v>
      </c>
    </row>
    <row r="45" spans="2:15" ht="15">
      <c r="B45" t="s">
        <v>27</v>
      </c>
      <c r="D45" s="4"/>
      <c r="E45" s="10">
        <v>-20</v>
      </c>
      <c r="F45" s="4"/>
      <c r="G45" s="10">
        <v>-40</v>
      </c>
      <c r="H45" s="10"/>
      <c r="I45" s="10">
        <v>0</v>
      </c>
      <c r="J45" s="4"/>
      <c r="K45" s="10">
        <f>((I45/7)*4)</f>
        <v>0</v>
      </c>
      <c r="L45" s="4"/>
      <c r="M45" s="10">
        <f t="shared" si="0"/>
        <v>0</v>
      </c>
      <c r="O45" s="20">
        <v>-30</v>
      </c>
    </row>
    <row r="46" spans="2:15" ht="15">
      <c r="B46" t="s">
        <v>80</v>
      </c>
      <c r="D46" s="4"/>
      <c r="E46" s="11">
        <v>0</v>
      </c>
      <c r="F46" s="11"/>
      <c r="G46" s="11">
        <v>610</v>
      </c>
      <c r="H46" s="11"/>
      <c r="I46" s="11">
        <v>255</v>
      </c>
      <c r="J46" s="4"/>
      <c r="K46" s="4">
        <f>((I46/7)*4)</f>
        <v>145.71428571428572</v>
      </c>
      <c r="L46" s="4"/>
      <c r="M46" s="4">
        <f t="shared" si="0"/>
        <v>400.7142857142857</v>
      </c>
      <c r="O46" s="21">
        <v>850</v>
      </c>
    </row>
    <row r="47" spans="2:15" ht="15">
      <c r="B47" t="s">
        <v>28</v>
      </c>
      <c r="D47" s="6"/>
      <c r="E47" s="4">
        <v>260</v>
      </c>
      <c r="F47" s="4"/>
      <c r="G47" s="4">
        <v>280</v>
      </c>
      <c r="H47" s="4"/>
      <c r="I47" s="4">
        <v>155</v>
      </c>
      <c r="J47" s="4"/>
      <c r="K47" s="4">
        <f>((I47/7)*4)</f>
        <v>88.57142857142857</v>
      </c>
      <c r="L47" s="4"/>
      <c r="M47" s="4">
        <f t="shared" si="0"/>
        <v>243.57142857142856</v>
      </c>
      <c r="O47" s="19">
        <f t="shared" si="2"/>
        <v>255.74999999999997</v>
      </c>
    </row>
    <row r="48" spans="2:15" ht="15">
      <c r="B48" t="s">
        <v>29</v>
      </c>
      <c r="D48" s="6"/>
      <c r="E48" s="4">
        <v>1255</v>
      </c>
      <c r="F48" s="4"/>
      <c r="G48" s="4">
        <v>1165</v>
      </c>
      <c r="H48" s="4"/>
      <c r="I48" s="4">
        <v>920</v>
      </c>
      <c r="J48" s="4"/>
      <c r="K48" s="4">
        <f>((I48/7)*4)</f>
        <v>525.7142857142857</v>
      </c>
      <c r="L48" s="4"/>
      <c r="M48" s="4">
        <f t="shared" si="0"/>
        <v>1445.7142857142858</v>
      </c>
      <c r="O48" s="19">
        <v>2400</v>
      </c>
    </row>
    <row r="49" spans="2:15" ht="15">
      <c r="B49" t="s">
        <v>30</v>
      </c>
      <c r="D49" s="6"/>
      <c r="E49" s="4">
        <v>0</v>
      </c>
      <c r="F49" s="4"/>
      <c r="G49" s="4">
        <v>65</v>
      </c>
      <c r="H49" s="4"/>
      <c r="I49" s="4">
        <v>0</v>
      </c>
      <c r="J49" s="4"/>
      <c r="K49" s="4">
        <v>70</v>
      </c>
      <c r="L49" s="4"/>
      <c r="M49" s="4">
        <f t="shared" si="0"/>
        <v>70</v>
      </c>
      <c r="O49" s="19">
        <v>120</v>
      </c>
    </row>
    <row r="50" spans="2:15" ht="15">
      <c r="B50" t="s">
        <v>72</v>
      </c>
      <c r="D50" s="6"/>
      <c r="E50" s="4">
        <v>395</v>
      </c>
      <c r="F50" s="4"/>
      <c r="G50" s="4">
        <v>0</v>
      </c>
      <c r="H50" s="4"/>
      <c r="I50" s="4">
        <v>0</v>
      </c>
      <c r="J50" s="4"/>
      <c r="K50" s="4">
        <v>0</v>
      </c>
      <c r="L50" s="4"/>
      <c r="M50" s="4">
        <f t="shared" si="0"/>
        <v>0</v>
      </c>
      <c r="O50" s="19">
        <v>0</v>
      </c>
    </row>
    <row r="51" spans="2:15" ht="15">
      <c r="B51" t="s">
        <v>31</v>
      </c>
      <c r="D51" s="6"/>
      <c r="E51" s="4">
        <f>2875</f>
        <v>2875</v>
      </c>
      <c r="F51" s="4"/>
      <c r="G51" s="4">
        <v>2886</v>
      </c>
      <c r="H51" s="4"/>
      <c r="I51" s="4">
        <v>1916.52</v>
      </c>
      <c r="J51" s="4"/>
      <c r="K51" s="4">
        <f>((I51/7)*4)</f>
        <v>1095.1542857142856</v>
      </c>
      <c r="L51" s="4"/>
      <c r="M51" s="4">
        <f t="shared" si="0"/>
        <v>3011.6742857142854</v>
      </c>
      <c r="O51" s="19">
        <f t="shared" si="2"/>
        <v>3162.2579999999994</v>
      </c>
    </row>
    <row r="52" spans="2:15" ht="15">
      <c r="B52" t="s">
        <v>32</v>
      </c>
      <c r="D52" s="6"/>
      <c r="E52" s="4">
        <v>1019</v>
      </c>
      <c r="F52" s="4"/>
      <c r="G52" s="4">
        <v>581</v>
      </c>
      <c r="H52" s="4"/>
      <c r="I52" s="4">
        <v>271.26</v>
      </c>
      <c r="J52" s="4"/>
      <c r="K52" s="4">
        <v>750</v>
      </c>
      <c r="L52" s="4"/>
      <c r="M52" s="4">
        <f t="shared" si="0"/>
        <v>1021.26</v>
      </c>
      <c r="O52" s="19">
        <f t="shared" si="2"/>
        <v>1072.323</v>
      </c>
    </row>
    <row r="53" spans="2:15" ht="15">
      <c r="B53" t="s">
        <v>56</v>
      </c>
      <c r="D53" s="6"/>
      <c r="E53" s="4">
        <f>110</f>
        <v>110</v>
      </c>
      <c r="F53" s="4"/>
      <c r="G53" s="4">
        <v>0</v>
      </c>
      <c r="H53" s="4"/>
      <c r="I53" s="4">
        <v>0</v>
      </c>
      <c r="J53" s="4"/>
      <c r="K53" s="4">
        <v>0</v>
      </c>
      <c r="L53" s="4"/>
      <c r="M53" s="4">
        <f t="shared" si="0"/>
        <v>0</v>
      </c>
      <c r="O53" s="19">
        <v>0</v>
      </c>
    </row>
    <row r="54" spans="2:15" ht="15">
      <c r="B54" t="s">
        <v>95</v>
      </c>
      <c r="D54" s="6"/>
      <c r="E54" s="4">
        <v>0</v>
      </c>
      <c r="F54" s="4"/>
      <c r="G54" s="4">
        <v>0</v>
      </c>
      <c r="H54" s="4"/>
      <c r="I54" s="4">
        <v>0</v>
      </c>
      <c r="J54" s="4"/>
      <c r="K54" s="4">
        <v>0</v>
      </c>
      <c r="L54" s="4"/>
      <c r="M54" s="4">
        <f t="shared" si="0"/>
        <v>0</v>
      </c>
      <c r="O54" s="19">
        <v>1000</v>
      </c>
    </row>
    <row r="55" spans="2:15" ht="15">
      <c r="B55" t="s">
        <v>33</v>
      </c>
      <c r="D55" s="6"/>
      <c r="E55" s="4">
        <f>470</f>
        <v>470</v>
      </c>
      <c r="F55" s="4"/>
      <c r="G55" s="4">
        <v>470</v>
      </c>
      <c r="H55" s="4"/>
      <c r="I55" s="4">
        <v>329</v>
      </c>
      <c r="J55" s="4"/>
      <c r="K55" s="4">
        <f>((I55/7)*4)</f>
        <v>188</v>
      </c>
      <c r="L55" s="4"/>
      <c r="M55" s="4">
        <f t="shared" si="0"/>
        <v>517</v>
      </c>
      <c r="O55" s="19">
        <v>1320</v>
      </c>
    </row>
    <row r="56" spans="2:15" ht="15">
      <c r="B56" t="s">
        <v>34</v>
      </c>
      <c r="D56" s="6"/>
      <c r="E56" s="4">
        <f>52+225+50</f>
        <v>327</v>
      </c>
      <c r="F56" s="4"/>
      <c r="G56" s="4">
        <v>415</v>
      </c>
      <c r="H56" s="4"/>
      <c r="I56" s="4">
        <v>0</v>
      </c>
      <c r="J56" s="4"/>
      <c r="K56" s="4">
        <v>300</v>
      </c>
      <c r="L56" s="4"/>
      <c r="M56" s="4">
        <f t="shared" si="0"/>
        <v>300</v>
      </c>
      <c r="O56" s="19">
        <v>0</v>
      </c>
    </row>
    <row r="57" spans="2:15" ht="15">
      <c r="B57" t="s">
        <v>96</v>
      </c>
      <c r="D57" s="6"/>
      <c r="E57" s="4">
        <v>0</v>
      </c>
      <c r="F57" s="4"/>
      <c r="G57" s="4">
        <v>0</v>
      </c>
      <c r="H57" s="4"/>
      <c r="I57" s="4">
        <v>0</v>
      </c>
      <c r="J57" s="4"/>
      <c r="K57" s="4">
        <v>0</v>
      </c>
      <c r="L57" s="4"/>
      <c r="M57" s="4">
        <f t="shared" si="0"/>
        <v>0</v>
      </c>
      <c r="O57" s="19">
        <v>75000</v>
      </c>
    </row>
    <row r="58" spans="2:15" ht="15">
      <c r="B58" t="s">
        <v>57</v>
      </c>
      <c r="D58" s="6"/>
      <c r="E58" s="4">
        <f>200</f>
        <v>200</v>
      </c>
      <c r="F58" s="4"/>
      <c r="G58" s="4">
        <v>376</v>
      </c>
      <c r="H58" s="4"/>
      <c r="I58" s="4">
        <v>0</v>
      </c>
      <c r="J58" s="4"/>
      <c r="K58" s="4">
        <v>0</v>
      </c>
      <c r="L58" s="4"/>
      <c r="M58" s="4">
        <f t="shared" si="0"/>
        <v>0</v>
      </c>
      <c r="O58" s="19">
        <v>0</v>
      </c>
    </row>
    <row r="59" spans="2:15" ht="15">
      <c r="B59" t="s">
        <v>73</v>
      </c>
      <c r="D59" s="6"/>
      <c r="E59" s="4">
        <v>165</v>
      </c>
      <c r="F59" s="4"/>
      <c r="G59" s="4">
        <v>0</v>
      </c>
      <c r="H59" s="4"/>
      <c r="I59" s="4">
        <v>0</v>
      </c>
      <c r="J59" s="4"/>
      <c r="K59" s="4">
        <v>0</v>
      </c>
      <c r="L59" s="4"/>
      <c r="M59" s="4">
        <f t="shared" si="0"/>
        <v>0</v>
      </c>
      <c r="O59" s="19">
        <v>0</v>
      </c>
    </row>
    <row r="60" spans="2:15" ht="15">
      <c r="B60" t="s">
        <v>93</v>
      </c>
      <c r="D60" s="6"/>
      <c r="E60" s="4">
        <v>0</v>
      </c>
      <c r="F60" s="4"/>
      <c r="G60" s="4">
        <v>0</v>
      </c>
      <c r="H60" s="4"/>
      <c r="I60" s="4">
        <v>240</v>
      </c>
      <c r="J60" s="4"/>
      <c r="K60" s="4">
        <v>0</v>
      </c>
      <c r="L60" s="4"/>
      <c r="M60" s="4">
        <f t="shared" si="0"/>
        <v>240</v>
      </c>
      <c r="O60" s="19">
        <v>0</v>
      </c>
    </row>
    <row r="61" spans="2:15" ht="15">
      <c r="B61" t="s">
        <v>58</v>
      </c>
      <c r="D61" s="6"/>
      <c r="E61" s="4">
        <f>443</f>
        <v>443</v>
      </c>
      <c r="F61" s="4"/>
      <c r="G61" s="4">
        <v>413</v>
      </c>
      <c r="H61" s="4"/>
      <c r="I61" s="4">
        <v>0</v>
      </c>
      <c r="J61" s="4"/>
      <c r="K61" s="4">
        <v>0</v>
      </c>
      <c r="L61" s="4"/>
      <c r="M61" s="4">
        <f t="shared" si="0"/>
        <v>0</v>
      </c>
      <c r="O61" s="19">
        <v>0</v>
      </c>
    </row>
    <row r="62" spans="2:15" ht="15">
      <c r="B62" t="s">
        <v>35</v>
      </c>
      <c r="D62" s="6"/>
      <c r="E62" s="4">
        <f>375</f>
        <v>375</v>
      </c>
      <c r="F62" s="4"/>
      <c r="G62" s="4">
        <v>183</v>
      </c>
      <c r="H62" s="4"/>
      <c r="I62" s="4">
        <v>118.35</v>
      </c>
      <c r="J62" s="4"/>
      <c r="K62" s="4">
        <f>((I62/7)*4)</f>
        <v>67.62857142857142</v>
      </c>
      <c r="L62" s="4"/>
      <c r="M62" s="4">
        <f t="shared" si="0"/>
        <v>185.9785714285714</v>
      </c>
      <c r="O62" s="19">
        <f aca="true" t="shared" si="3" ref="O62">(M62/100*105)</f>
        <v>195.27749999999997</v>
      </c>
    </row>
    <row r="63" spans="2:15" ht="15">
      <c r="B63" t="s">
        <v>36</v>
      </c>
      <c r="D63" s="6"/>
      <c r="E63" s="4">
        <f>507</f>
        <v>507</v>
      </c>
      <c r="F63" s="4"/>
      <c r="G63" s="4">
        <v>363</v>
      </c>
      <c r="H63" s="4"/>
      <c r="I63" s="4">
        <v>57.6</v>
      </c>
      <c r="J63" s="4"/>
      <c r="K63" s="4">
        <f>((I63/7)*4)</f>
        <v>32.91428571428572</v>
      </c>
      <c r="L63" s="4"/>
      <c r="M63" s="4">
        <f t="shared" si="0"/>
        <v>90.51428571428572</v>
      </c>
      <c r="O63" s="19">
        <v>500</v>
      </c>
    </row>
    <row r="64" spans="2:15" ht="15">
      <c r="B64" t="s">
        <v>37</v>
      </c>
      <c r="D64" s="6"/>
      <c r="E64" s="4">
        <f>9</f>
        <v>9</v>
      </c>
      <c r="F64" s="4"/>
      <c r="G64" s="4">
        <v>0</v>
      </c>
      <c r="H64" s="4"/>
      <c r="I64" s="4">
        <v>0</v>
      </c>
      <c r="J64" s="4"/>
      <c r="K64" s="4">
        <v>0</v>
      </c>
      <c r="L64" s="4"/>
      <c r="M64" s="4">
        <f t="shared" si="0"/>
        <v>0</v>
      </c>
      <c r="O64" s="19">
        <v>0</v>
      </c>
    </row>
    <row r="65" spans="2:15" ht="15">
      <c r="B65" t="s">
        <v>38</v>
      </c>
      <c r="D65" s="6"/>
      <c r="E65" s="4">
        <f>4680</f>
        <v>4680</v>
      </c>
      <c r="F65" s="4"/>
      <c r="G65" s="4">
        <v>4320</v>
      </c>
      <c r="H65" s="4"/>
      <c r="I65" s="4">
        <v>2520</v>
      </c>
      <c r="J65" s="4"/>
      <c r="K65" s="4">
        <v>1800</v>
      </c>
      <c r="L65" s="4"/>
      <c r="M65" s="4">
        <f t="shared" si="0"/>
        <v>4320</v>
      </c>
      <c r="O65" s="19">
        <v>4320</v>
      </c>
    </row>
    <row r="66" spans="2:15" ht="15">
      <c r="B66" t="s">
        <v>39</v>
      </c>
      <c r="D66" s="6"/>
      <c r="E66" s="4">
        <f>24</f>
        <v>24</v>
      </c>
      <c r="F66" s="4"/>
      <c r="G66" s="4">
        <v>0</v>
      </c>
      <c r="H66" s="4"/>
      <c r="I66" s="4">
        <v>0</v>
      </c>
      <c r="J66" s="4"/>
      <c r="K66" s="4">
        <f>((I66/7)*4)</f>
        <v>0</v>
      </c>
      <c r="L66" s="4"/>
      <c r="M66" s="4">
        <f t="shared" si="0"/>
        <v>0</v>
      </c>
      <c r="O66" s="19">
        <v>100</v>
      </c>
    </row>
    <row r="67" spans="2:15" ht="15">
      <c r="B67" t="s">
        <v>74</v>
      </c>
      <c r="D67" s="6"/>
      <c r="E67" s="4">
        <f>20+1+13</f>
        <v>34</v>
      </c>
      <c r="F67" s="4"/>
      <c r="G67" s="4">
        <v>0</v>
      </c>
      <c r="H67" s="4"/>
      <c r="I67" s="4">
        <v>0</v>
      </c>
      <c r="J67" s="4"/>
      <c r="K67" s="4">
        <f>((I67/7)*4)</f>
        <v>0</v>
      </c>
      <c r="L67" s="4"/>
      <c r="M67" s="4">
        <f t="shared" si="0"/>
        <v>0</v>
      </c>
      <c r="O67" s="19">
        <v>50</v>
      </c>
    </row>
    <row r="68" spans="2:15" ht="15">
      <c r="B68" t="s">
        <v>40</v>
      </c>
      <c r="D68" s="6"/>
      <c r="E68" s="4">
        <f>21</f>
        <v>21</v>
      </c>
      <c r="F68" s="4"/>
      <c r="G68" s="4">
        <v>255</v>
      </c>
      <c r="H68" s="4"/>
      <c r="I68" s="4">
        <v>0</v>
      </c>
      <c r="J68" s="4"/>
      <c r="K68" s="4">
        <v>0</v>
      </c>
      <c r="L68" s="4"/>
      <c r="M68" s="4">
        <f t="shared" si="0"/>
        <v>0</v>
      </c>
      <c r="O68" s="19">
        <v>0</v>
      </c>
    </row>
    <row r="69" spans="2:15" ht="15">
      <c r="B69" t="s">
        <v>41</v>
      </c>
      <c r="D69" s="6"/>
      <c r="E69" s="10">
        <v>-2369</v>
      </c>
      <c r="F69" s="4"/>
      <c r="G69" s="10">
        <v>0</v>
      </c>
      <c r="H69" s="10"/>
      <c r="I69" s="10">
        <v>0</v>
      </c>
      <c r="J69" s="4"/>
      <c r="K69" s="10">
        <v>0</v>
      </c>
      <c r="L69" s="4"/>
      <c r="M69" s="10">
        <f t="shared" si="0"/>
        <v>0</v>
      </c>
      <c r="O69" s="21">
        <v>0</v>
      </c>
    </row>
    <row r="70" spans="2:15" ht="15">
      <c r="B70" t="s">
        <v>59</v>
      </c>
      <c r="D70" s="6"/>
      <c r="E70" s="4">
        <f>250</f>
        <v>250</v>
      </c>
      <c r="F70" s="4"/>
      <c r="G70" s="4">
        <v>0</v>
      </c>
      <c r="H70" s="4"/>
      <c r="I70" s="11">
        <v>0</v>
      </c>
      <c r="J70" s="4"/>
      <c r="K70" s="4">
        <v>0</v>
      </c>
      <c r="L70" s="4"/>
      <c r="M70" s="4">
        <f t="shared" si="0"/>
        <v>0</v>
      </c>
      <c r="O70" s="19">
        <v>0</v>
      </c>
    </row>
    <row r="71" spans="2:15" ht="15">
      <c r="B71" t="s">
        <v>68</v>
      </c>
      <c r="D71" s="6"/>
      <c r="E71" s="4">
        <v>0</v>
      </c>
      <c r="F71" s="4"/>
      <c r="G71" s="4">
        <v>0</v>
      </c>
      <c r="H71" s="4"/>
      <c r="I71" s="4">
        <v>0</v>
      </c>
      <c r="J71" s="4"/>
      <c r="K71" s="4">
        <v>0</v>
      </c>
      <c r="L71" s="4"/>
      <c r="M71" s="4">
        <f t="shared" si="0"/>
        <v>0</v>
      </c>
      <c r="O71" s="19">
        <v>3000</v>
      </c>
    </row>
    <row r="72" spans="2:15" ht="15">
      <c r="B72" t="s">
        <v>92</v>
      </c>
      <c r="D72" s="6"/>
      <c r="E72" s="4">
        <v>0</v>
      </c>
      <c r="F72" s="4"/>
      <c r="G72" s="4">
        <v>0</v>
      </c>
      <c r="H72" s="4"/>
      <c r="I72" s="4">
        <v>1779</v>
      </c>
      <c r="J72" s="4"/>
      <c r="K72" s="4">
        <v>0</v>
      </c>
      <c r="L72" s="4"/>
      <c r="M72" s="4">
        <f t="shared" si="0"/>
        <v>1779</v>
      </c>
      <c r="O72" s="19">
        <v>0</v>
      </c>
    </row>
    <row r="73" spans="2:15" ht="15">
      <c r="B73" t="s">
        <v>81</v>
      </c>
      <c r="D73" s="6"/>
      <c r="E73" s="4">
        <v>0</v>
      </c>
      <c r="F73" s="4"/>
      <c r="G73" s="4">
        <v>600</v>
      </c>
      <c r="H73" s="4"/>
      <c r="I73" s="4">
        <v>0</v>
      </c>
      <c r="J73" s="4"/>
      <c r="K73" s="4">
        <v>600</v>
      </c>
      <c r="L73" s="4"/>
      <c r="M73" s="4">
        <f t="shared" si="0"/>
        <v>600</v>
      </c>
      <c r="O73" s="19">
        <v>0</v>
      </c>
    </row>
    <row r="74" spans="2:15" ht="15">
      <c r="B74" t="s">
        <v>42</v>
      </c>
      <c r="D74" s="6"/>
      <c r="E74" s="4">
        <f>780</f>
        <v>780</v>
      </c>
      <c r="F74" s="4"/>
      <c r="G74" s="4">
        <v>728</v>
      </c>
      <c r="H74" s="4"/>
      <c r="I74" s="4">
        <v>452.5</v>
      </c>
      <c r="J74" s="4"/>
      <c r="K74" s="4">
        <f>((I74/7)*4)</f>
        <v>258.57142857142856</v>
      </c>
      <c r="L74" s="4"/>
      <c r="M74" s="4">
        <f t="shared" si="0"/>
        <v>711.0714285714286</v>
      </c>
      <c r="O74" s="19">
        <v>910</v>
      </c>
    </row>
    <row r="75" spans="2:15" ht="15">
      <c r="B75" t="s">
        <v>43</v>
      </c>
      <c r="D75" s="6"/>
      <c r="E75" s="4">
        <f>194</f>
        <v>194</v>
      </c>
      <c r="F75" s="4"/>
      <c r="G75" s="4">
        <v>121</v>
      </c>
      <c r="H75" s="4"/>
      <c r="I75" s="4">
        <v>38.4</v>
      </c>
      <c r="J75" s="4"/>
      <c r="K75" s="4">
        <v>120</v>
      </c>
      <c r="L75" s="4"/>
      <c r="M75" s="4">
        <f t="shared" si="0"/>
        <v>158.4</v>
      </c>
      <c r="O75" s="19">
        <f aca="true" t="shared" si="4" ref="O75:O79">(M75/100*105)</f>
        <v>166.32000000000002</v>
      </c>
    </row>
    <row r="76" spans="2:15" ht="15">
      <c r="B76" t="s">
        <v>44</v>
      </c>
      <c r="D76" s="6"/>
      <c r="E76" s="4">
        <f>44</f>
        <v>44</v>
      </c>
      <c r="F76" s="4"/>
      <c r="G76" s="4">
        <v>18</v>
      </c>
      <c r="H76" s="4"/>
      <c r="I76" s="4">
        <v>0</v>
      </c>
      <c r="J76" s="4"/>
      <c r="K76" s="4">
        <f>((I76/7)*4)</f>
        <v>0</v>
      </c>
      <c r="L76" s="4"/>
      <c r="M76" s="4">
        <f t="shared" si="0"/>
        <v>0</v>
      </c>
      <c r="O76" s="19">
        <v>20</v>
      </c>
    </row>
    <row r="77" spans="2:15" ht="15">
      <c r="B77" t="s">
        <v>46</v>
      </c>
      <c r="D77" s="6"/>
      <c r="E77" s="4">
        <f>105</f>
        <v>105</v>
      </c>
      <c r="F77" s="4"/>
      <c r="G77" s="4">
        <v>86</v>
      </c>
      <c r="H77" s="4"/>
      <c r="I77" s="4">
        <v>67</v>
      </c>
      <c r="J77" s="4"/>
      <c r="K77" s="4">
        <f>((I77/7)*4)</f>
        <v>38.285714285714285</v>
      </c>
      <c r="L77" s="4"/>
      <c r="M77" s="4">
        <f t="shared" si="0"/>
        <v>105.28571428571428</v>
      </c>
      <c r="O77" s="19">
        <f t="shared" si="4"/>
        <v>110.54999999999998</v>
      </c>
    </row>
    <row r="78" spans="2:15" ht="15">
      <c r="B78" t="s">
        <v>47</v>
      </c>
      <c r="D78" s="6"/>
      <c r="E78" s="4">
        <f>390</f>
        <v>390</v>
      </c>
      <c r="F78" s="4"/>
      <c r="G78" s="4">
        <v>0</v>
      </c>
      <c r="H78" s="4"/>
      <c r="I78" s="4">
        <v>0</v>
      </c>
      <c r="J78" s="4"/>
      <c r="K78" s="4">
        <v>100</v>
      </c>
      <c r="L78" s="4"/>
      <c r="M78" s="4">
        <f t="shared" si="0"/>
        <v>100</v>
      </c>
      <c r="O78" s="19">
        <v>250</v>
      </c>
    </row>
    <row r="79" spans="2:15" ht="15">
      <c r="B79" t="s">
        <v>48</v>
      </c>
      <c r="D79" s="6"/>
      <c r="E79" s="4">
        <f>119</f>
        <v>119</v>
      </c>
      <c r="F79" s="4"/>
      <c r="G79" s="4">
        <v>0</v>
      </c>
      <c r="H79" s="4"/>
      <c r="I79" s="4">
        <v>0</v>
      </c>
      <c r="J79" s="4"/>
      <c r="K79" s="4">
        <v>40</v>
      </c>
      <c r="L79" s="4"/>
      <c r="M79" s="4">
        <f t="shared" si="0"/>
        <v>40</v>
      </c>
      <c r="O79" s="19">
        <f t="shared" si="4"/>
        <v>42</v>
      </c>
    </row>
    <row r="80" spans="2:15" ht="15">
      <c r="B80" t="s">
        <v>49</v>
      </c>
      <c r="D80" s="6"/>
      <c r="E80" s="4">
        <v>0</v>
      </c>
      <c r="F80" s="4"/>
      <c r="G80" s="4">
        <v>795</v>
      </c>
      <c r="H80" s="4"/>
      <c r="I80" s="4">
        <v>0</v>
      </c>
      <c r="J80" s="4"/>
      <c r="K80" s="4">
        <v>0</v>
      </c>
      <c r="L80" s="4"/>
      <c r="M80" s="4">
        <f t="shared" si="0"/>
        <v>0</v>
      </c>
      <c r="O80" s="19">
        <v>0</v>
      </c>
    </row>
    <row r="81" spans="2:15" ht="15">
      <c r="B81" t="s">
        <v>61</v>
      </c>
      <c r="D81" s="6"/>
      <c r="E81" s="4">
        <f>34</f>
        <v>34</v>
      </c>
      <c r="F81" s="4"/>
      <c r="G81" s="4">
        <v>0</v>
      </c>
      <c r="H81" s="4"/>
      <c r="I81" s="4">
        <v>0</v>
      </c>
      <c r="J81" s="4"/>
      <c r="K81" s="4">
        <v>0</v>
      </c>
      <c r="L81" s="4"/>
      <c r="M81" s="4">
        <f t="shared" si="0"/>
        <v>0</v>
      </c>
      <c r="O81" s="19">
        <v>0</v>
      </c>
    </row>
    <row r="82" spans="2:15" ht="15">
      <c r="B82" t="s">
        <v>50</v>
      </c>
      <c r="D82" s="6"/>
      <c r="E82" s="4">
        <f>4</f>
        <v>4</v>
      </c>
      <c r="F82" s="4"/>
      <c r="G82" s="4">
        <v>0</v>
      </c>
      <c r="H82" s="4"/>
      <c r="I82" s="4">
        <v>0</v>
      </c>
      <c r="J82" s="4"/>
      <c r="K82" s="4">
        <v>0</v>
      </c>
      <c r="L82" s="4"/>
      <c r="M82" s="4">
        <f t="shared" si="0"/>
        <v>0</v>
      </c>
      <c r="O82" s="19">
        <v>0</v>
      </c>
    </row>
    <row r="83" spans="2:15" ht="15">
      <c r="B83" t="s">
        <v>51</v>
      </c>
      <c r="D83" s="6"/>
      <c r="E83" s="4">
        <f>201</f>
        <v>201</v>
      </c>
      <c r="F83" s="4"/>
      <c r="G83" s="4">
        <v>326</v>
      </c>
      <c r="H83" s="4"/>
      <c r="I83" s="4">
        <v>0</v>
      </c>
      <c r="J83" s="4"/>
      <c r="K83" s="4">
        <v>300</v>
      </c>
      <c r="L83" s="4"/>
      <c r="M83" s="4">
        <f t="shared" si="0"/>
        <v>300</v>
      </c>
      <c r="O83" s="19">
        <v>300</v>
      </c>
    </row>
    <row r="84" spans="2:15" ht="15">
      <c r="B84" t="s">
        <v>52</v>
      </c>
      <c r="D84" s="6"/>
      <c r="E84" s="4">
        <v>0</v>
      </c>
      <c r="F84" s="4"/>
      <c r="G84" s="4">
        <v>0</v>
      </c>
      <c r="H84" s="4"/>
      <c r="I84" s="4">
        <v>0</v>
      </c>
      <c r="J84" s="4"/>
      <c r="K84" s="4">
        <v>0</v>
      </c>
      <c r="L84" s="4"/>
      <c r="M84" s="4">
        <f t="shared" si="0"/>
        <v>0</v>
      </c>
      <c r="O84" s="19">
        <v>0</v>
      </c>
    </row>
    <row r="85" spans="2:15" ht="15">
      <c r="B85" t="s">
        <v>45</v>
      </c>
      <c r="D85" s="6"/>
      <c r="E85" s="4">
        <f>36+56+18+39+234+46</f>
        <v>429</v>
      </c>
      <c r="F85" s="4"/>
      <c r="G85" s="4">
        <v>282</v>
      </c>
      <c r="H85" s="4"/>
      <c r="I85" s="4">
        <v>236.63</v>
      </c>
      <c r="J85" s="4"/>
      <c r="K85" s="4">
        <f>((I85/7)*4)</f>
        <v>135.21714285714285</v>
      </c>
      <c r="L85" s="4"/>
      <c r="M85" s="4">
        <f t="shared" si="0"/>
        <v>371.84714285714284</v>
      </c>
      <c r="O85" s="19">
        <v>100</v>
      </c>
    </row>
    <row r="86" spans="2:15" ht="15">
      <c r="B86" t="s">
        <v>66</v>
      </c>
      <c r="D86" s="6"/>
      <c r="E86" s="4">
        <f>450</f>
        <v>450</v>
      </c>
      <c r="F86" s="4"/>
      <c r="G86" s="4">
        <v>0</v>
      </c>
      <c r="H86" s="4"/>
      <c r="I86" s="4">
        <v>0</v>
      </c>
      <c r="J86" s="4"/>
      <c r="K86" s="4">
        <v>0</v>
      </c>
      <c r="L86" s="4"/>
      <c r="M86" s="4">
        <f t="shared" si="0"/>
        <v>0</v>
      </c>
      <c r="O86" s="19">
        <v>0</v>
      </c>
    </row>
    <row r="87" spans="2:15" ht="15">
      <c r="B87" t="s">
        <v>67</v>
      </c>
      <c r="D87" s="6"/>
      <c r="E87" s="4">
        <v>0</v>
      </c>
      <c r="F87" s="4"/>
      <c r="G87" s="4">
        <v>0</v>
      </c>
      <c r="H87" s="4"/>
      <c r="I87" s="4">
        <v>0</v>
      </c>
      <c r="J87" s="4"/>
      <c r="K87" s="4">
        <v>0</v>
      </c>
      <c r="L87" s="4"/>
      <c r="M87" s="4">
        <f t="shared" si="0"/>
        <v>0</v>
      </c>
      <c r="O87" s="19">
        <v>0</v>
      </c>
    </row>
    <row r="88" spans="2:15" ht="15">
      <c r="B88" t="s">
        <v>60</v>
      </c>
      <c r="D88" s="6"/>
      <c r="E88" s="4">
        <f>385</f>
        <v>385</v>
      </c>
      <c r="F88" s="4"/>
      <c r="G88" s="4">
        <v>97</v>
      </c>
      <c r="H88" s="4"/>
      <c r="I88" s="4">
        <v>0</v>
      </c>
      <c r="J88" s="4"/>
      <c r="K88" s="4">
        <v>0</v>
      </c>
      <c r="L88" s="4"/>
      <c r="M88" s="4">
        <f t="shared" si="0"/>
        <v>0</v>
      </c>
      <c r="O88" s="19">
        <v>0</v>
      </c>
    </row>
    <row r="89" spans="2:15" ht="15">
      <c r="B89" t="s">
        <v>75</v>
      </c>
      <c r="D89" s="6"/>
      <c r="E89" s="4">
        <v>715</v>
      </c>
      <c r="F89" s="4"/>
      <c r="G89" s="4">
        <v>0</v>
      </c>
      <c r="H89" s="4"/>
      <c r="I89" s="4">
        <v>0</v>
      </c>
      <c r="J89" s="4"/>
      <c r="K89" s="4">
        <v>0</v>
      </c>
      <c r="L89" s="4"/>
      <c r="M89" s="4">
        <f t="shared" si="0"/>
        <v>0</v>
      </c>
      <c r="O89" s="19">
        <v>500</v>
      </c>
    </row>
    <row r="90" spans="2:15" ht="15">
      <c r="B90" t="s">
        <v>82</v>
      </c>
      <c r="D90" s="6"/>
      <c r="E90" s="4">
        <v>0</v>
      </c>
      <c r="F90" s="4"/>
      <c r="G90" s="4">
        <v>289</v>
      </c>
      <c r="H90" s="4"/>
      <c r="I90" s="4">
        <v>0</v>
      </c>
      <c r="J90" s="4"/>
      <c r="K90" s="4">
        <v>0</v>
      </c>
      <c r="L90" s="4"/>
      <c r="M90" s="4">
        <f t="shared" si="0"/>
        <v>0</v>
      </c>
      <c r="O90" s="19">
        <v>350</v>
      </c>
    </row>
    <row r="91" spans="2:15" ht="15">
      <c r="B91" t="s">
        <v>94</v>
      </c>
      <c r="D91" s="6"/>
      <c r="E91" s="4">
        <v>0</v>
      </c>
      <c r="F91" s="4"/>
      <c r="G91" s="4">
        <v>0</v>
      </c>
      <c r="H91" s="4"/>
      <c r="I91" s="4">
        <v>400</v>
      </c>
      <c r="J91" s="4"/>
      <c r="K91" s="4">
        <v>0</v>
      </c>
      <c r="L91" s="4"/>
      <c r="M91" s="4">
        <f t="shared" si="0"/>
        <v>400</v>
      </c>
      <c r="O91" s="19">
        <v>0</v>
      </c>
    </row>
    <row r="92" spans="2:15" ht="15">
      <c r="B92" t="s">
        <v>76</v>
      </c>
      <c r="D92" s="6"/>
      <c r="E92" s="4">
        <f>1145</f>
        <v>1145</v>
      </c>
      <c r="F92" s="4"/>
      <c r="G92" s="4">
        <v>0</v>
      </c>
      <c r="H92" s="4"/>
      <c r="I92" s="4">
        <v>0</v>
      </c>
      <c r="J92" s="4"/>
      <c r="K92" s="4">
        <v>0</v>
      </c>
      <c r="L92" s="4"/>
      <c r="M92" s="4">
        <f t="shared" si="0"/>
        <v>0</v>
      </c>
      <c r="O92" s="19">
        <v>0</v>
      </c>
    </row>
    <row r="93" spans="4:15" ht="15.75" thickBot="1">
      <c r="D93" s="4"/>
      <c r="E93" s="9">
        <f>SUM(E12:E92)</f>
        <v>34072</v>
      </c>
      <c r="F93" s="4"/>
      <c r="G93" s="9">
        <f>SUM(G12:G92)</f>
        <v>35592</v>
      </c>
      <c r="H93" s="4"/>
      <c r="I93" s="9">
        <f>SUM(I12:I92)</f>
        <v>24614.94</v>
      </c>
      <c r="J93" s="4"/>
      <c r="K93" s="9">
        <f>SUM(K12:K92)</f>
        <v>12778.548571428571</v>
      </c>
      <c r="L93" s="4"/>
      <c r="M93" s="9">
        <f aca="true" t="shared" si="5" ref="M93">I93+K93</f>
        <v>37393.48857142857</v>
      </c>
      <c r="O93" s="22">
        <f>SUM(O12:O92)</f>
        <v>121305.1865</v>
      </c>
    </row>
    <row r="94" spans="4:15" ht="15.75" thickTop="1">
      <c r="D94" s="4"/>
      <c r="E94" s="6"/>
      <c r="F94" s="4"/>
      <c r="G94" s="6"/>
      <c r="H94" s="4"/>
      <c r="I94" s="6"/>
      <c r="J94" s="4"/>
      <c r="K94" s="6"/>
      <c r="L94" s="4"/>
      <c r="M94" s="6"/>
      <c r="O94" s="6"/>
    </row>
    <row r="95" spans="4:15" ht="15">
      <c r="D95" s="4"/>
      <c r="E95" s="6"/>
      <c r="F95" s="4"/>
      <c r="G95" s="6"/>
      <c r="H95" s="4"/>
      <c r="I95" s="6"/>
      <c r="J95" s="4"/>
      <c r="K95" s="6"/>
      <c r="L95" s="4"/>
      <c r="M95" s="6"/>
      <c r="O95" s="6"/>
    </row>
    <row r="96" spans="4:15" ht="15">
      <c r="D96" s="4"/>
      <c r="E96" s="6"/>
      <c r="F96" s="4"/>
      <c r="G96" s="6"/>
      <c r="H96" s="4"/>
      <c r="I96" s="6"/>
      <c r="J96" s="4"/>
      <c r="K96" s="6"/>
      <c r="L96" s="4"/>
      <c r="M96" s="6"/>
      <c r="O96" s="6"/>
    </row>
    <row r="97" spans="1:15" ht="15">
      <c r="A97" t="s">
        <v>111</v>
      </c>
      <c r="D97" s="4"/>
      <c r="E97" s="6"/>
      <c r="F97" s="4"/>
      <c r="G97" s="6"/>
      <c r="H97" s="4"/>
      <c r="I97" s="6"/>
      <c r="J97" s="4"/>
      <c r="K97" s="6"/>
      <c r="L97" s="4"/>
      <c r="M97" s="6"/>
      <c r="O97" s="6"/>
    </row>
    <row r="98" spans="4:15" ht="15">
      <c r="D98" s="4"/>
      <c r="E98" s="6"/>
      <c r="F98" s="4"/>
      <c r="G98" s="6"/>
      <c r="H98" s="4"/>
      <c r="I98" s="6"/>
      <c r="J98" s="4"/>
      <c r="K98" s="6"/>
      <c r="L98" s="4"/>
      <c r="M98" s="6"/>
      <c r="O98" s="6"/>
    </row>
    <row r="99" spans="4:15" ht="15">
      <c r="D99" s="4"/>
      <c r="E99" s="6"/>
      <c r="F99" s="4"/>
      <c r="G99" s="6"/>
      <c r="H99" s="4"/>
      <c r="I99" s="6"/>
      <c r="J99" s="4"/>
      <c r="K99" s="6"/>
      <c r="L99" s="4"/>
      <c r="M99" s="6"/>
      <c r="O99" s="6"/>
    </row>
    <row r="100" spans="4:15" ht="15">
      <c r="D100" s="4"/>
      <c r="E100" s="4"/>
      <c r="F100" s="4"/>
      <c r="G100" s="4"/>
      <c r="H100" s="4"/>
      <c r="I100" s="4"/>
      <c r="J100" s="4"/>
      <c r="K100" s="6"/>
      <c r="L100" s="4"/>
      <c r="M100" s="6"/>
      <c r="O100" s="4"/>
    </row>
    <row r="101" spans="2:15" ht="15">
      <c r="B101" s="1" t="s">
        <v>0</v>
      </c>
      <c r="M101" s="4"/>
      <c r="O101" s="4"/>
    </row>
    <row r="102" spans="2:15" ht="15">
      <c r="B102" s="1" t="s">
        <v>112</v>
      </c>
      <c r="M102" s="4"/>
      <c r="O102" s="4"/>
    </row>
    <row r="103" spans="11:15" ht="15">
      <c r="K103" s="2" t="s">
        <v>1</v>
      </c>
      <c r="M103" s="4"/>
      <c r="O103" s="4"/>
    </row>
    <row r="104" spans="3:15" ht="15">
      <c r="C104" t="s">
        <v>101</v>
      </c>
      <c r="K104" s="4">
        <v>56970</v>
      </c>
      <c r="M104" s="4"/>
      <c r="O104" s="4"/>
    </row>
    <row r="105" spans="13:15" ht="15">
      <c r="M105" s="4"/>
      <c r="O105" s="4"/>
    </row>
    <row r="106" spans="3:15" ht="15">
      <c r="C106" t="s">
        <v>102</v>
      </c>
      <c r="K106" s="8">
        <f>K93</f>
        <v>12778.548571428571</v>
      </c>
      <c r="M106" s="4"/>
      <c r="O106" s="4"/>
    </row>
    <row r="107" spans="3:15" ht="15">
      <c r="C107" t="s">
        <v>103</v>
      </c>
      <c r="K107" s="4">
        <f>K104-K106</f>
        <v>44191.451428571425</v>
      </c>
      <c r="M107" s="4"/>
      <c r="O107" s="4"/>
    </row>
    <row r="108" spans="13:15" ht="15">
      <c r="M108" s="4"/>
      <c r="O108" s="4"/>
    </row>
    <row r="109" spans="5:15" ht="15">
      <c r="E109" s="2" t="s">
        <v>9</v>
      </c>
      <c r="M109" s="4"/>
      <c r="O109" s="4"/>
    </row>
    <row r="110" spans="5:15" ht="15">
      <c r="E110" s="13" t="s">
        <v>83</v>
      </c>
      <c r="M110" s="4"/>
      <c r="O110" s="4"/>
    </row>
    <row r="111" spans="5:15" ht="15">
      <c r="E111" s="14"/>
      <c r="O111" s="4"/>
    </row>
    <row r="112" spans="3:10" ht="15">
      <c r="C112" t="s">
        <v>97</v>
      </c>
      <c r="E112" s="4">
        <v>36152</v>
      </c>
      <c r="I112" s="4">
        <v>37960</v>
      </c>
      <c r="J112" t="s">
        <v>98</v>
      </c>
    </row>
    <row r="113" spans="3:9" ht="15">
      <c r="C113" t="s">
        <v>99</v>
      </c>
      <c r="E113" s="8">
        <v>1662</v>
      </c>
      <c r="I113" s="8">
        <v>1275</v>
      </c>
    </row>
    <row r="114" spans="5:11" ht="15">
      <c r="E114" s="4">
        <f>SUM(E112:E113)</f>
        <v>37814</v>
      </c>
      <c r="K114" s="8">
        <f>I112+I113</f>
        <v>39235</v>
      </c>
    </row>
    <row r="115" ht="15">
      <c r="K115" s="4">
        <f>K107+K114</f>
        <v>83426.45142857142</v>
      </c>
    </row>
    <row r="116" spans="3:11" ht="15">
      <c r="C116" t="s">
        <v>104</v>
      </c>
      <c r="K116" s="8">
        <v>45000</v>
      </c>
    </row>
    <row r="117" ht="15">
      <c r="K117" s="4">
        <f>K115+K116</f>
        <v>128426.45142857142</v>
      </c>
    </row>
    <row r="118" spans="3:11" ht="15">
      <c r="C118" t="s">
        <v>100</v>
      </c>
      <c r="K118" s="8">
        <f>O93</f>
        <v>121305.1865</v>
      </c>
    </row>
    <row r="119" spans="3:11" ht="15.75" thickBot="1">
      <c r="C119" t="s">
        <v>107</v>
      </c>
      <c r="J119" s="15" t="s">
        <v>1</v>
      </c>
      <c r="K119" s="9">
        <f>K117-K118</f>
        <v>7121.264928571429</v>
      </c>
    </row>
    <row r="120" ht="15.75" thickTop="1"/>
    <row r="122" ht="15">
      <c r="B122" t="s">
        <v>108</v>
      </c>
    </row>
    <row r="125" ht="15">
      <c r="A125" t="s">
        <v>111</v>
      </c>
    </row>
  </sheetData>
  <printOptions gridLines="1"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Watson</dc:creator>
  <cp:keywords/>
  <dc:description/>
  <cp:lastModifiedBy>John Watson</cp:lastModifiedBy>
  <cp:lastPrinted>2017-05-15T14:35:19Z</cp:lastPrinted>
  <dcterms:created xsi:type="dcterms:W3CDTF">2013-06-21T16:29:04Z</dcterms:created>
  <dcterms:modified xsi:type="dcterms:W3CDTF">2017-05-15T14:36:10Z</dcterms:modified>
  <cp:category/>
  <cp:version/>
  <cp:contentType/>
  <cp:contentStatus/>
</cp:coreProperties>
</file>